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vidarbuckle/Library/Mobile Documents/com~apple~CloudDocs/"/>
    </mc:Choice>
  </mc:AlternateContent>
  <xr:revisionPtr revIDLastSave="0" documentId="13_ncr:9_{B78BC616-D70A-D440-9788-213BE3BA12C2}" xr6:coauthVersionLast="47" xr6:coauthVersionMax="47" xr10:uidLastSave="{00000000-0000-0000-0000-000000000000}"/>
  <bookViews>
    <workbookView xWindow="0" yWindow="760" windowWidth="30240" windowHeight="17700" xr2:uid="{BA8F2AF1-2A1D-2741-A1D0-D4A35B7DDA35}"/>
  </bookViews>
  <sheets>
    <sheet name="1000ly total summary-result" sheetId="1" r:id="rId1"/>
    <sheet name="Sheet3" sheetId="4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4" l="1"/>
  <c r="K45" i="4"/>
  <c r="I44" i="4"/>
  <c r="K41" i="4"/>
  <c r="I41" i="4"/>
  <c r="I34" i="4"/>
  <c r="I32" i="4"/>
  <c r="I35" i="4" s="1"/>
  <c r="I36" i="4" s="1"/>
  <c r="I29" i="4"/>
  <c r="G11" i="4"/>
  <c r="G10" i="4"/>
  <c r="G14" i="4" s="1"/>
  <c r="G8" i="4"/>
  <c r="E94" i="1"/>
  <c r="E95" i="1"/>
  <c r="E96" i="1"/>
  <c r="E97" i="1"/>
  <c r="D90" i="1"/>
  <c r="D91" i="1"/>
  <c r="D92" i="1"/>
  <c r="D93" i="1"/>
  <c r="D94" i="1"/>
  <c r="D95" i="1"/>
  <c r="D96" i="1"/>
  <c r="D97" i="1"/>
  <c r="D89" i="1"/>
  <c r="C90" i="1"/>
  <c r="E90" i="1" s="1"/>
  <c r="C91" i="1"/>
  <c r="E91" i="1" s="1"/>
  <c r="C92" i="1"/>
  <c r="E92" i="1" s="1"/>
  <c r="C93" i="1"/>
  <c r="C94" i="1"/>
  <c r="C95" i="1"/>
  <c r="C96" i="1"/>
  <c r="C97" i="1"/>
  <c r="C89" i="1"/>
  <c r="E89" i="1" s="1"/>
  <c r="B22" i="4"/>
  <c r="B24" i="4" s="1"/>
  <c r="B14" i="4"/>
  <c r="B13" i="4"/>
  <c r="B6" i="4"/>
  <c r="B8" i="4" s="1"/>
  <c r="B10" i="4" s="1"/>
  <c r="C4" i="3"/>
  <c r="C5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B34" i="1"/>
  <c r="B45" i="1"/>
  <c r="B42" i="1"/>
  <c r="B43" i="1" s="1"/>
  <c r="B24" i="1"/>
  <c r="B22" i="1"/>
  <c r="B23" i="1" s="1"/>
  <c r="B78" i="1"/>
  <c r="B79" i="1"/>
  <c r="B80" i="1" s="1"/>
  <c r="B70" i="1" s="1"/>
  <c r="B32" i="1"/>
  <c r="B33" i="1" s="1"/>
  <c r="B31" i="1"/>
  <c r="B61" i="1" s="1"/>
  <c r="C18" i="1"/>
  <c r="B30" i="1" s="1"/>
  <c r="C19" i="1"/>
  <c r="B28" i="1"/>
  <c r="B29" i="1" s="1"/>
  <c r="E93" i="1" l="1"/>
  <c r="B17" i="4"/>
  <c r="B19" i="4" s="1"/>
  <c r="B7" i="4"/>
  <c r="B9" i="4" s="1"/>
  <c r="B11" i="4" s="1"/>
  <c r="B12" i="4" s="1"/>
  <c r="B44" i="1"/>
  <c r="B46" i="1" s="1"/>
  <c r="B71" i="1"/>
  <c r="B35" i="1"/>
  <c r="B36" i="1" s="1"/>
  <c r="B26" i="1"/>
  <c r="B25" i="1"/>
  <c r="B82" i="1"/>
  <c r="B81" i="1"/>
  <c r="B65" i="1"/>
  <c r="B53" i="1"/>
  <c r="B54" i="1"/>
  <c r="B50" i="1"/>
  <c r="B18" i="4" l="1"/>
  <c r="B20" i="4" s="1"/>
  <c r="B26" i="4" s="1"/>
  <c r="G3" i="4" s="1"/>
  <c r="B16" i="4"/>
  <c r="B51" i="1"/>
  <c r="B52" i="1" s="1"/>
  <c r="B55" i="1" s="1"/>
  <c r="C15" i="1"/>
  <c r="B27" i="1"/>
  <c r="B56" i="1"/>
  <c r="G5" i="4" l="1"/>
  <c r="G6" i="4" s="1"/>
  <c r="G15" i="4"/>
  <c r="B39" i="1"/>
  <c r="B40" i="1" s="1"/>
  <c r="B47" i="1" s="1"/>
  <c r="B62" i="1" s="1"/>
  <c r="B57" i="1"/>
  <c r="B60" i="1" s="1"/>
  <c r="B63" i="1" l="1"/>
  <c r="B64" i="1"/>
  <c r="B101" i="1" l="1"/>
  <c r="B100" i="1"/>
</calcChain>
</file>

<file path=xl/sharedStrings.xml><?xml version="1.0" encoding="utf-8"?>
<sst xmlns="http://schemas.openxmlformats.org/spreadsheetml/2006/main" count="309" uniqueCount="284">
  <si>
    <t>Parameter</t>
  </si>
  <si>
    <t>Formula</t>
  </si>
  <si>
    <t>Value</t>
  </si>
  <si>
    <t>Required Eb/N0 (dB)</t>
  </si>
  <si>
    <t>CALCULATIONS</t>
  </si>
  <si>
    <t>Tx Power (dBW)</t>
  </si>
  <si>
    <t>Tx Gain (dB)</t>
  </si>
  <si>
    <t>EIRP (dBW)</t>
  </si>
  <si>
    <t>Free Space Loss (dB)</t>
  </si>
  <si>
    <t>Rx Gain (dB)</t>
  </si>
  <si>
    <t>Rx Power (dBW)</t>
  </si>
  <si>
    <t>Noise Power (dBW)</t>
  </si>
  <si>
    <t>C/N (dB)</t>
  </si>
  <si>
    <t>Required C/N (dB)</t>
  </si>
  <si>
    <t>Margin (dB)</t>
  </si>
  <si>
    <t>Link Closes?</t>
  </si>
  <si>
    <t>Frequency (Ghz)</t>
  </si>
  <si>
    <t>Tx Power (MW)</t>
  </si>
  <si>
    <t>Distance (ly)</t>
  </si>
  <si>
    <t>Derived Parameters</t>
  </si>
  <si>
    <t>scientific formula</t>
  </si>
  <si>
    <t>P_dBW = 10×log₁₀(P_W)</t>
  </si>
  <si>
    <t>G = 10×log₁₀(η × (πD/λ)²), where η ≈ 0.55 (typical efficiency)</t>
  </si>
  <si>
    <t>revised calc</t>
  </si>
  <si>
    <t>f (Hz) = f (GHz) × 10⁹</t>
  </si>
  <si>
    <t>λ = c/f, where c = 2.998×10⁸ m/s</t>
  </si>
  <si>
    <t>d (m) = d (ly) × 9.461×10¹⁵</t>
  </si>
  <si>
    <t>η</t>
  </si>
  <si>
    <t>Scientific Formula</t>
  </si>
  <si>
    <t>Light Year (m)</t>
  </si>
  <si>
    <t>D</t>
  </si>
  <si>
    <t>Wavelength (m) λ</t>
  </si>
  <si>
    <t>c</t>
  </si>
  <si>
    <t>Efficiency η</t>
  </si>
  <si>
    <t>Speed of Light (m/s) c</t>
  </si>
  <si>
    <t>EIRP = P_tx(dBW) + G_tx(dB)</t>
  </si>
  <si>
    <t>FSL = 20×log₁₀(d) + 20×log₁₀(f) + 20×log₁₀(4π/c)</t>
  </si>
  <si>
    <t>Distance (m) d</t>
  </si>
  <si>
    <t>Tx Power (W) P</t>
  </si>
  <si>
    <t>Frequency (Hz) f</t>
  </si>
  <si>
    <t>G = 10×log₁₀(η × (πD/λ)²), where η ≈ 0.55</t>
  </si>
  <si>
    <t>Rx Diameter (m) (Drx)</t>
  </si>
  <si>
    <t>Tx Diameter (m) (Dtx)</t>
  </si>
  <si>
    <t>P_rx = EIRP - FSL + G_rx</t>
  </si>
  <si>
    <t xml:space="preserve"> N = 10×log₁₀(k × T × B), where k = 1.38×10⁻²³ J/K</t>
  </si>
  <si>
    <t>k</t>
  </si>
  <si>
    <t>System Temp (K) T</t>
  </si>
  <si>
    <t>Bandwidth (Hz) B</t>
  </si>
  <si>
    <t>(C/N)_req = (E_b/N_0)_req(dB) + 10×log₁₀(B)</t>
  </si>
  <si>
    <t>C/N = P_rx(dBW) - N(dBW)</t>
  </si>
  <si>
    <t>Margin = C/N - (C/N)_req</t>
  </si>
  <si>
    <t>Boltzmann's constant (k)</t>
  </si>
  <si>
    <t>Explanation</t>
  </si>
  <si>
    <t>Transmitting antenna size in meters</t>
  </si>
  <si>
    <t>Transmission power</t>
  </si>
  <si>
    <t>Noise temperature of the receiving antenna</t>
  </si>
  <si>
    <t>Signal bandwidth</t>
  </si>
  <si>
    <t>Antenna aperature efficiency (tx and rx both)</t>
  </si>
  <si>
    <t>Converts linear power to decibels relative to 1 watt. 2 GW = 93.0 dBW</t>
  </si>
  <si>
    <t>Antenna gain from aperture formula. Larger dish and shorter wavelength = higher gain. 100m dish at 1.4 GHz ≈ 69.7 dB</t>
  </si>
  <si>
    <t>Effective Isotropic Radiated Power - total effective power as if from an isotropic antenna</t>
  </si>
  <si>
    <t>Path loss in free space. Derived from FSL = (4πd/λ)². At 1000 ly, this is enormous (~436 dB)</t>
  </si>
  <si>
    <t>Receiver antenna gain. 1000m dish ≈ 89.7 dB</t>
  </si>
  <si>
    <t>Received power after path loss and receive antenna gain</t>
  </si>
  <si>
    <t>Thermal noise power in the receiver bandwidth. N = kTB</t>
  </si>
  <si>
    <t>Carrier-to-noise ratio - fundamental measure of link quality</t>
  </si>
  <si>
    <t>Converts Eb/N0 requirement to C/N requirement for the given bandwidth. C/N = Eb/N0 × (Rb/B), and assuming Rb ≈ B</t>
  </si>
  <si>
    <t>Link margin - positive means link closes with margin to spare</t>
  </si>
  <si>
    <t>Power Density (kW/m²)</t>
  </si>
  <si>
    <t>Tx Array Size</t>
  </si>
  <si>
    <t>How many transmitting antennas</t>
  </si>
  <si>
    <t>Array Tx Power (W) P</t>
  </si>
  <si>
    <t>P * n</t>
  </si>
  <si>
    <t>Receiving antenna effective diameter. VLA is equivalent to 130m3</t>
  </si>
  <si>
    <t>Total Power Draw (MW)</t>
  </si>
  <si>
    <t>Total Power Draw (GW)</t>
  </si>
  <si>
    <t>Earth total power generation (GW)</t>
  </si>
  <si>
    <t>Earth total power generation (TW)</t>
  </si>
  <si>
    <t>Share of earth power</t>
  </si>
  <si>
    <t>Total Supportable Arrays</t>
  </si>
  <si>
    <t>-</t>
  </si>
  <si>
    <t>Transmission distance target in light years</t>
  </si>
  <si>
    <t>Thermally Feasible?</t>
  </si>
  <si>
    <t>Operating frequency in the L-band, at the hydrogen line at 1.420 GHz</t>
  </si>
  <si>
    <t>Symbol</t>
  </si>
  <si>
    <t>Symbol count (alphabet size)</t>
  </si>
  <si>
    <t>M</t>
  </si>
  <si>
    <t>Payload length</t>
  </si>
  <si>
    <t>L</t>
  </si>
  <si>
    <t>Transmission time</t>
  </si>
  <si>
    <t>T_total</t>
  </si>
  <si>
    <t>Required bit error rate</t>
  </si>
  <si>
    <t>BER</t>
  </si>
  <si>
    <t>f</t>
  </si>
  <si>
    <t>d</t>
  </si>
  <si>
    <t>d_ly</t>
  </si>
  <si>
    <t>d_tx</t>
  </si>
  <si>
    <t>p_tx</t>
  </si>
  <si>
    <t>p_arr</t>
  </si>
  <si>
    <t>d_rx</t>
  </si>
  <si>
    <t>T</t>
  </si>
  <si>
    <t>B</t>
  </si>
  <si>
    <t>d_m</t>
  </si>
  <si>
    <t>Symbol duration</t>
  </si>
  <si>
    <t>T_s = T_total / L</t>
  </si>
  <si>
    <t>Symbol rate</t>
  </si>
  <si>
    <t>R_s = 1 / T_s</t>
  </si>
  <si>
    <t>Bits per symbol</t>
  </si>
  <si>
    <t>Bit rate</t>
  </si>
  <si>
    <t>R_b = R_s × k</t>
  </si>
  <si>
    <t>Minimum tone spacing</t>
  </si>
  <si>
    <t>Δf = 1 / T_s</t>
  </si>
  <si>
    <t>Frequency span (all tones)</t>
  </si>
  <si>
    <t>B_span = M × Δf</t>
  </si>
  <si>
    <t>total apparent bandwidth</t>
  </si>
  <si>
    <t>not used for anything but academically interesting</t>
  </si>
  <si>
    <t xml:space="preserve">GATC </t>
  </si>
  <si>
    <t>from the plot. This transmission will repeat forever</t>
  </si>
  <si>
    <t xml:space="preserve">Energy per bit to Noise power spectral density ratio. It's a measure of signal quality needed for a given bit error rate (BER). </t>
  </si>
  <si>
    <t>b = log₂(M)</t>
  </si>
  <si>
    <t>Required Eb/N0 (linear)</t>
  </si>
  <si>
    <t>10×log₁₀(-ln(2×BER/(M-1))/b)</t>
  </si>
  <si>
    <t>Array baseline (m)</t>
  </si>
  <si>
    <t>D_baseline = N_side × D_dish</t>
  </si>
  <si>
    <t>Beam width (radians)</t>
  </si>
  <si>
    <t>θ_beam = λ / D_baseline</t>
  </si>
  <si>
    <t>Angular resolution of array</t>
  </si>
  <si>
    <t>Beam width (arcsec)</t>
  </si>
  <si>
    <t>θ_arcsec = θ_rad × 206265</t>
  </si>
  <si>
    <t>Convert radians to arcseconds</t>
  </si>
  <si>
    <t>Gaia proper motion error (mas/yr)</t>
  </si>
  <si>
    <t>σ_pm</t>
  </si>
  <si>
    <t>Typical Gaia error at 1000 ly</t>
  </si>
  <si>
    <t>Position uncertainty (arcsec)</t>
  </si>
  <si>
    <t>σ_pos = σ_pm × t_total / 1000</t>
  </si>
  <si>
    <t>Accumulated position error over prediction horizon</t>
  </si>
  <si>
    <t>Beam widths of uncertainty</t>
  </si>
  <si>
    <t>n_beams = σ_pos / θ_beam</t>
  </si>
  <si>
    <t>How many beam widths is the uncertainty</t>
  </si>
  <si>
    <t>Gaia compensation adequate?</t>
  </si>
  <si>
    <t>Checks</t>
  </si>
  <si>
    <t>Power Plants</t>
  </si>
  <si>
    <t>Nuclear (dry cooling) GW/km2</t>
  </si>
  <si>
    <t>Solar + batteries GW/km2</t>
  </si>
  <si>
    <t>Solar requirement for array (km2)</t>
  </si>
  <si>
    <t>Nuclear requirement for array (km2)</t>
  </si>
  <si>
    <t>Array area requirement</t>
  </si>
  <si>
    <t>Total dishes</t>
  </si>
  <si>
    <t>Required certainty (arcsec)</t>
  </si>
  <si>
    <t>Arbitrary margin of certainty for aiming</t>
  </si>
  <si>
    <t>Max usable baseline</t>
  </si>
  <si>
    <t>D_max = λ × 206265 / θ_req</t>
  </si>
  <si>
    <t>θ_req = σ_pos x 2</t>
  </si>
  <si>
    <t>FEASABILITY</t>
  </si>
  <si>
    <t>Minimum physical extent of array</t>
  </si>
  <si>
    <t>Target aperature (m)</t>
  </si>
  <si>
    <t>Signal Detectable?</t>
  </si>
  <si>
    <t>f_closes = Margin &gt; 0</t>
  </si>
  <si>
    <t>f_detectable = Margin &gt; 10</t>
  </si>
  <si>
    <t>pdens = P / 1000 / π(Dtx/2)²</t>
  </si>
  <si>
    <t>10kw/m2 melts the dish. 2kw/m2 requires lnox cooling</t>
  </si>
  <si>
    <t>n_beams &lt;=1</t>
  </si>
  <si>
    <t>-2*LN(2*BER/(M-1))</t>
  </si>
  <si>
    <t>noise bandwidth per tone</t>
  </si>
  <si>
    <t>how many symbols required for message</t>
  </si>
  <si>
    <t>a_target = min(max(D_baseline, D_max), 100000)</t>
  </si>
  <si>
    <t>Maximum physical extent of array. Arrays larger than 10km are challenging to calibrate, larger than 100km might not be feasible.</t>
  </si>
  <si>
    <t>Array Tx Power (MW)</t>
  </si>
  <si>
    <t>P/1e6</t>
  </si>
  <si>
    <t>just presume a kilometer</t>
  </si>
  <si>
    <t>Calories per human</t>
  </si>
  <si>
    <t>https://www.theverge.com/2017/4/6/15189678/prehistoric-cannibalism-humans-calories-nutrition-neanderthal-behavior</t>
  </si>
  <si>
    <t>Daily caloric requirement</t>
  </si>
  <si>
    <t>longevity people</t>
  </si>
  <si>
    <t>Days of sustenance per human</t>
  </si>
  <si>
    <t>Years</t>
  </si>
  <si>
    <t>Starting population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</si>
  <si>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</si>
  <si>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</si>
  <si>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</si>
  <si>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</si>
  <si>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</si>
  <si>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</si>
  <si>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</si>
  <si>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</si>
  <si>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</si>
  <si>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</si>
  <si>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</si>
  <si>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</si>
  <si>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</si>
  <si>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</si>
  <si>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</si>
  <si>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</si>
  <si>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</si>
  <si>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</si>
  <si>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</si>
  <si>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</si>
  <si>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</si>
  <si>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</si>
  <si>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</si>
  <si>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</si>
  <si>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</si>
  <si>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 xml:space="preserve">I want to work backwards from two parameters to undertsand the density of life in the universe. </t>
  </si>
  <si>
    <t>if the virus only propagates for 100 years from any given planet</t>
  </si>
  <si>
    <t>and the susceptability is 95%, say</t>
  </si>
  <si>
    <t xml:space="preserve">and each world has the ability to reach 500,000 unique alternative worlds (considering that at a radius of 640 light years from the source, we would expect to broadcast an overlapping spheres, where the non-overlapping area grows geometrically with distance from the center of the </t>
  </si>
  <si>
    <t>Sphere 1 radius</t>
  </si>
  <si>
    <t>Sphere 2 radius</t>
  </si>
  <si>
    <t>Center to Center distance</t>
  </si>
  <si>
    <t>distance from center 1 to intersection plane</t>
  </si>
  <si>
    <t>distance from center 2 to intersection plane</t>
  </si>
  <si>
    <t>Description</t>
  </si>
  <si>
    <t>r_1</t>
  </si>
  <si>
    <t>r_2</t>
  </si>
  <si>
    <t>x1</t>
  </si>
  <si>
    <t>x2</t>
  </si>
  <si>
    <t>cap 1 height</t>
  </si>
  <si>
    <t>cap 2 height</t>
  </si>
  <si>
    <t>cap 1 volume</t>
  </si>
  <si>
    <t>cap 2 volume</t>
  </si>
  <si>
    <t>h1</t>
  </si>
  <si>
    <t>h2</t>
  </si>
  <si>
    <t>v1</t>
  </si>
  <si>
    <t>v2</t>
  </si>
  <si>
    <t>v_o</t>
  </si>
  <si>
    <t>overlap volume</t>
  </si>
  <si>
    <t>Sphere 1 total vol</t>
  </si>
  <si>
    <t>Sphere 2 total vol</t>
  </si>
  <si>
    <t>Combined volume</t>
  </si>
  <si>
    <t>tv_1</t>
  </si>
  <si>
    <t>tv_2</t>
  </si>
  <si>
    <t>tv_all</t>
  </si>
  <si>
    <t>free sphere 1</t>
  </si>
  <si>
    <t>free sphere 2</t>
  </si>
  <si>
    <t>f1</t>
  </si>
  <si>
    <t>f2</t>
  </si>
  <si>
    <t>ly in cone (from summary)</t>
  </si>
  <si>
    <t>A_ly</t>
  </si>
  <si>
    <t>distance</t>
  </si>
  <si>
    <t>all</t>
  </si>
  <si>
    <t>habitable</t>
  </si>
  <si>
    <t>inf</t>
  </si>
  <si>
    <t>cumulative</t>
  </si>
  <si>
    <t>area</t>
  </si>
  <si>
    <t>density (stars per cubic light year</t>
  </si>
  <si>
    <t>stellar density (per 1 ly) (wild assed guess)</t>
  </si>
  <si>
    <t>d_s</t>
  </si>
  <si>
    <t>free sphere 1 perc</t>
  </si>
  <si>
    <t>free sphere 2 perc</t>
  </si>
  <si>
    <t>p1</t>
  </si>
  <si>
    <t>p2</t>
  </si>
  <si>
    <t>new stars for infection</t>
  </si>
  <si>
    <t>estimated habitable stars</t>
  </si>
  <si>
    <t>SIR model?</t>
  </si>
  <si>
    <t>R₀ = β × c × D</t>
  </si>
  <si>
    <t>transmission probability per contact (10-100%)</t>
  </si>
  <si>
    <t>β</t>
  </si>
  <si>
    <t>contact rate (contacts per unit time)</t>
  </si>
  <si>
    <t>infectious duration</t>
  </si>
  <si>
    <t>galactic radius (ly)</t>
  </si>
  <si>
    <t>earth distance from core</t>
  </si>
  <si>
    <t>galactic circumpherence (light years, earth)</t>
  </si>
  <si>
    <t>galactic circumpherence (light years, max)</t>
  </si>
  <si>
    <t>gC</t>
  </si>
  <si>
    <t>replenish time</t>
  </si>
  <si>
    <t>t_replenish</t>
  </si>
  <si>
    <t>p_crit?</t>
  </si>
  <si>
    <t>r0</t>
  </si>
  <si>
    <t>remember covid?</t>
  </si>
  <si>
    <t>eligible planets</t>
  </si>
  <si>
    <t>p</t>
  </si>
  <si>
    <t>galaxy diameter</t>
  </si>
  <si>
    <t>galxy radius</t>
  </si>
  <si>
    <t>galaxy thickness</t>
  </si>
  <si>
    <t>inhospitable core</t>
  </si>
  <si>
    <t>total volume</t>
  </si>
  <si>
    <t>core volume</t>
  </si>
  <si>
    <t>habitable volume</t>
  </si>
  <si>
    <t>ly between earth and kepler 22</t>
  </si>
  <si>
    <t>volume</t>
  </si>
  <si>
    <t>civs in galaxy</t>
  </si>
  <si>
    <t>transmission radius</t>
  </si>
  <si>
    <t>civs in transmission</t>
  </si>
  <si>
    <t>less us and the losers who infected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</si>
</sst>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7" formatCode="0.0000"/>
    <numFmt numFmtId="176" formatCode="_(* #,##0_);_(* \(#,##0\);_(* &quot;-&quot;??_);_(@_)"/>
    <numFmt numFmtId="179" formatCode="0.0000000%"/>
    <numFmt numFmtId="182" formatCode="0.00000"/>
    <numFmt numFmtId="186" formatCode="0.000000000"/>
    <numFmt numFmtId="189" formatCode="_(* #,##0.00000_);_(* \(#,##0.00000\);_(* &quot;-&quot;??_);_(@_)"/>
    <numFmt numFmtId="190" formatCode="_(* #,##0.000000_);_(* \(#,##0.000000\);_(* &quot;-&quot;??_);_(@_)"/>
    <numFmt numFmtId="192" formatCode="_(* #,##0.00000000_);_(* \(#,##0.00000000\);_(* &quot;-&quot;??_);_(@_)"/>
  </numFmts>
  <fonts count="2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11" fontId="0" fillId="0" borderId="0" xfId="0" applyNumberFormat="1"/>
    <xf numFmtId="0" fontId="18" fillId="0" borderId="0" xfId="0" applyFont="1"/>
    <xf numFmtId="167" fontId="0" fillId="0" borderId="0" xfId="1" applyNumberFormat="1" applyFont="1"/>
    <xf numFmtId="0" fontId="19" fillId="0" borderId="0" xfId="0" applyFont="1"/>
    <xf numFmtId="0" fontId="0" fillId="0" borderId="0" xfId="0" applyAlignment="1"/>
    <xf numFmtId="9" fontId="0" fillId="0" borderId="0" xfId="2" applyFont="1"/>
    <xf numFmtId="176" fontId="0" fillId="0" borderId="0" xfId="1" applyNumberFormat="1" applyFont="1"/>
    <xf numFmtId="3" fontId="0" fillId="0" borderId="0" xfId="0" applyNumberFormat="1"/>
    <xf numFmtId="179" fontId="0" fillId="0" borderId="0" xfId="2" applyNumberFormat="1" applyFont="1"/>
    <xf numFmtId="0" fontId="19" fillId="0" borderId="0" xfId="0" quotePrefix="1" applyFont="1"/>
    <xf numFmtId="1" fontId="0" fillId="0" borderId="0" xfId="0" applyNumberFormat="1"/>
    <xf numFmtId="167" fontId="0" fillId="33" borderId="0" xfId="0" applyNumberFormat="1" applyFill="1"/>
    <xf numFmtId="182" fontId="0" fillId="0" borderId="0" xfId="0" applyNumberFormat="1"/>
    <xf numFmtId="186" fontId="0" fillId="0" borderId="0" xfId="0" applyNumberFormat="1"/>
    <xf numFmtId="0" fontId="0" fillId="0" borderId="0" xfId="0" applyAlignment="1">
      <alignment horizontal="right"/>
    </xf>
    <xf numFmtId="176" fontId="0" fillId="0" borderId="0" xfId="0" applyNumberFormat="1"/>
    <xf numFmtId="43" fontId="0" fillId="0" borderId="0" xfId="0" applyNumberFormat="1"/>
    <xf numFmtId="189" fontId="0" fillId="0" borderId="0" xfId="0" applyNumberFormat="1"/>
    <xf numFmtId="176" fontId="18" fillId="0" borderId="0" xfId="0" applyNumberFormat="1" applyFont="1"/>
    <xf numFmtId="190" fontId="0" fillId="0" borderId="0" xfId="0" applyNumberFormat="1"/>
    <xf numFmtId="192" fontId="0" fillId="0" borderId="0" xfId="0" applyNumberFormat="1"/>
    <xf numFmtId="9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2CCBF-6624-F840-BAB3-478F98FAB37F}">
  <dimension ref="A1:H123"/>
  <sheetViews>
    <sheetView tabSelected="1" zoomScale="50" workbookViewId="0">
      <selection activeCell="K22" sqref="K22"/>
    </sheetView>
  </sheetViews>
  <sheetFormatPr baseColWidth="10" defaultRowHeight="16" x14ac:dyDescent="0.2"/>
  <cols>
    <col min="1" max="1" width="30" customWidth="1"/>
    <col min="2" max="2" width="17" customWidth="1"/>
    <col min="3" max="3" width="40.33203125" customWidth="1"/>
    <col min="4" max="4" width="83" bestFit="1" customWidth="1"/>
    <col min="7" max="7" width="15" bestFit="1" customWidth="1"/>
    <col min="8" max="8" width="14" bestFit="1" customWidth="1"/>
    <col min="11" max="11" width="28" customWidth="1"/>
    <col min="12" max="12" width="12.1640625" bestFit="1" customWidth="1"/>
    <col min="14" max="14" width="11.1640625" bestFit="1" customWidth="1"/>
  </cols>
  <sheetData>
    <row r="1" spans="1:4" x14ac:dyDescent="0.2">
      <c r="A1" s="2" t="s">
        <v>0</v>
      </c>
      <c r="B1" s="2" t="s">
        <v>84</v>
      </c>
      <c r="C1" s="2" t="s">
        <v>2</v>
      </c>
      <c r="D1" s="2" t="s">
        <v>52</v>
      </c>
    </row>
    <row r="2" spans="1:4" x14ac:dyDescent="0.2">
      <c r="A2" t="s">
        <v>85</v>
      </c>
      <c r="B2" t="s">
        <v>86</v>
      </c>
      <c r="C2">
        <v>4</v>
      </c>
      <c r="D2" t="s">
        <v>116</v>
      </c>
    </row>
    <row r="3" spans="1:4" x14ac:dyDescent="0.2">
      <c r="A3" t="s">
        <v>87</v>
      </c>
      <c r="B3" t="s">
        <v>88</v>
      </c>
      <c r="C3" s="8">
        <v>13000</v>
      </c>
      <c r="D3" t="s">
        <v>164</v>
      </c>
    </row>
    <row r="4" spans="1:4" x14ac:dyDescent="0.2">
      <c r="A4" t="s">
        <v>89</v>
      </c>
      <c r="B4" t="s">
        <v>90</v>
      </c>
      <c r="C4">
        <v>78</v>
      </c>
      <c r="D4" t="s">
        <v>117</v>
      </c>
    </row>
    <row r="5" spans="1:4" x14ac:dyDescent="0.2">
      <c r="A5" t="s">
        <v>91</v>
      </c>
      <c r="B5" t="s">
        <v>92</v>
      </c>
      <c r="C5">
        <v>9.9999999999999995E-7</v>
      </c>
      <c r="D5" t="s">
        <v>80</v>
      </c>
    </row>
    <row r="7" spans="1:4" x14ac:dyDescent="0.2">
      <c r="A7" s="2" t="s">
        <v>0</v>
      </c>
      <c r="B7" s="2" t="s">
        <v>84</v>
      </c>
      <c r="C7" s="2" t="s">
        <v>1</v>
      </c>
      <c r="D7" s="2" t="s">
        <v>52</v>
      </c>
    </row>
    <row r="8" spans="1:4" x14ac:dyDescent="0.2">
      <c r="A8" t="s">
        <v>16</v>
      </c>
      <c r="B8" t="s">
        <v>93</v>
      </c>
      <c r="C8">
        <v>1.42</v>
      </c>
      <c r="D8" s="5" t="s">
        <v>83</v>
      </c>
    </row>
    <row r="9" spans="1:4" x14ac:dyDescent="0.2">
      <c r="A9" t="s">
        <v>18</v>
      </c>
      <c r="B9" t="s">
        <v>95</v>
      </c>
      <c r="C9" s="1">
        <v>1000</v>
      </c>
      <c r="D9" t="s">
        <v>81</v>
      </c>
    </row>
    <row r="10" spans="1:4" x14ac:dyDescent="0.2">
      <c r="A10" t="s">
        <v>42</v>
      </c>
      <c r="B10" t="s">
        <v>96</v>
      </c>
      <c r="C10">
        <v>25</v>
      </c>
      <c r="D10" t="s">
        <v>53</v>
      </c>
    </row>
    <row r="11" spans="1:4" x14ac:dyDescent="0.2">
      <c r="A11" t="s">
        <v>17</v>
      </c>
      <c r="B11" t="s">
        <v>97</v>
      </c>
      <c r="C11">
        <v>0.25</v>
      </c>
      <c r="D11" t="s">
        <v>54</v>
      </c>
    </row>
    <row r="12" spans="1:4" x14ac:dyDescent="0.2">
      <c r="A12" t="s">
        <v>69</v>
      </c>
      <c r="B12" t="s">
        <v>98</v>
      </c>
      <c r="C12">
        <v>25</v>
      </c>
      <c r="D12" t="s">
        <v>70</v>
      </c>
    </row>
    <row r="13" spans="1:4" x14ac:dyDescent="0.2">
      <c r="A13" t="s">
        <v>41</v>
      </c>
      <c r="B13" t="s">
        <v>99</v>
      </c>
      <c r="C13">
        <v>130</v>
      </c>
      <c r="D13" t="s">
        <v>73</v>
      </c>
    </row>
    <row r="14" spans="1:4" x14ac:dyDescent="0.2">
      <c r="A14" t="s">
        <v>46</v>
      </c>
      <c r="B14" t="s">
        <v>100</v>
      </c>
      <c r="C14">
        <v>25</v>
      </c>
      <c r="D14" t="s">
        <v>55</v>
      </c>
    </row>
    <row r="15" spans="1:4" x14ac:dyDescent="0.2">
      <c r="A15" t="s">
        <v>47</v>
      </c>
      <c r="B15" t="s">
        <v>101</v>
      </c>
      <c r="C15">
        <f>B26</f>
        <v>166.66666666666666</v>
      </c>
      <c r="D15" t="s">
        <v>56</v>
      </c>
    </row>
    <row r="16" spans="1:4" x14ac:dyDescent="0.2">
      <c r="A16" t="s">
        <v>33</v>
      </c>
      <c r="B16" t="s">
        <v>27</v>
      </c>
      <c r="C16">
        <v>0.5</v>
      </c>
      <c r="D16" t="s">
        <v>57</v>
      </c>
    </row>
    <row r="17" spans="1:4" x14ac:dyDescent="0.2">
      <c r="A17" t="s">
        <v>34</v>
      </c>
      <c r="B17" t="s">
        <v>32</v>
      </c>
      <c r="C17">
        <v>299792458</v>
      </c>
    </row>
    <row r="18" spans="1:4" x14ac:dyDescent="0.2">
      <c r="A18" t="s">
        <v>29</v>
      </c>
      <c r="B18" t="s">
        <v>102</v>
      </c>
      <c r="C18" s="1">
        <f>9461000000000000</f>
        <v>9461000000000000</v>
      </c>
    </row>
    <row r="19" spans="1:4" x14ac:dyDescent="0.2">
      <c r="A19" t="s">
        <v>51</v>
      </c>
      <c r="B19" t="s">
        <v>45</v>
      </c>
      <c r="C19" s="1">
        <f>1.38E-23</f>
        <v>1.3800000000000001E-23</v>
      </c>
    </row>
    <row r="20" spans="1:4" x14ac:dyDescent="0.2">
      <c r="C20" s="1"/>
    </row>
    <row r="21" spans="1:4" x14ac:dyDescent="0.2">
      <c r="A21" s="2" t="s">
        <v>19</v>
      </c>
      <c r="B21" s="2" t="s">
        <v>2</v>
      </c>
      <c r="C21" s="2" t="s">
        <v>28</v>
      </c>
      <c r="D21" s="2" t="s">
        <v>52</v>
      </c>
    </row>
    <row r="22" spans="1:4" x14ac:dyDescent="0.2">
      <c r="A22" t="s">
        <v>103</v>
      </c>
      <c r="B22">
        <f>C4/C3</f>
        <v>6.0000000000000001E-3</v>
      </c>
      <c r="C22" s="1" t="s">
        <v>104</v>
      </c>
    </row>
    <row r="23" spans="1:4" x14ac:dyDescent="0.2">
      <c r="A23" t="s">
        <v>105</v>
      </c>
      <c r="B23">
        <f>1/B22</f>
        <v>166.66666666666666</v>
      </c>
      <c r="C23" t="s">
        <v>106</v>
      </c>
    </row>
    <row r="24" spans="1:4" x14ac:dyDescent="0.2">
      <c r="A24" t="s">
        <v>107</v>
      </c>
      <c r="B24">
        <f>LOG(C2,2)</f>
        <v>2</v>
      </c>
      <c r="C24" t="s">
        <v>119</v>
      </c>
    </row>
    <row r="25" spans="1:4" x14ac:dyDescent="0.2">
      <c r="A25" t="s">
        <v>108</v>
      </c>
      <c r="B25">
        <f>B23*B24</f>
        <v>333.33333333333331</v>
      </c>
      <c r="C25" t="s">
        <v>109</v>
      </c>
      <c r="D25" t="s">
        <v>115</v>
      </c>
    </row>
    <row r="26" spans="1:4" x14ac:dyDescent="0.2">
      <c r="A26" t="s">
        <v>110</v>
      </c>
      <c r="B26">
        <f>1/B22</f>
        <v>166.66666666666666</v>
      </c>
      <c r="C26" t="s">
        <v>111</v>
      </c>
      <c r="D26" t="s">
        <v>163</v>
      </c>
    </row>
    <row r="27" spans="1:4" x14ac:dyDescent="0.2">
      <c r="A27" t="s">
        <v>112</v>
      </c>
      <c r="B27">
        <f>4*B26</f>
        <v>666.66666666666663</v>
      </c>
      <c r="C27" t="s">
        <v>113</v>
      </c>
      <c r="D27" t="s">
        <v>114</v>
      </c>
    </row>
    <row r="28" spans="1:4" x14ac:dyDescent="0.2">
      <c r="A28" t="s">
        <v>39</v>
      </c>
      <c r="B28">
        <f>C8*1000000000</f>
        <v>1420000000</v>
      </c>
      <c r="C28" t="s">
        <v>24</v>
      </c>
    </row>
    <row r="29" spans="1:4" x14ac:dyDescent="0.2">
      <c r="A29" t="s">
        <v>31</v>
      </c>
      <c r="B29">
        <f>C17/B28</f>
        <v>0.21112144929577464</v>
      </c>
      <c r="C29" t="s">
        <v>25</v>
      </c>
    </row>
    <row r="30" spans="1:4" x14ac:dyDescent="0.2">
      <c r="A30" t="s">
        <v>37</v>
      </c>
      <c r="B30" s="1">
        <f>C18*C9</f>
        <v>9.461E+18</v>
      </c>
      <c r="C30" t="s">
        <v>26</v>
      </c>
    </row>
    <row r="31" spans="1:4" x14ac:dyDescent="0.2">
      <c r="A31" t="s">
        <v>38</v>
      </c>
      <c r="B31">
        <f>C11*1000000</f>
        <v>250000</v>
      </c>
      <c r="C31" s="4" t="s">
        <v>26</v>
      </c>
    </row>
    <row r="32" spans="1:4" x14ac:dyDescent="0.2">
      <c r="A32" t="s">
        <v>71</v>
      </c>
      <c r="B32">
        <f>C11*1000000*C12</f>
        <v>6250000</v>
      </c>
      <c r="C32" s="4" t="s">
        <v>72</v>
      </c>
    </row>
    <row r="33" spans="1:4" x14ac:dyDescent="0.2">
      <c r="A33" t="s">
        <v>167</v>
      </c>
      <c r="B33">
        <f>B32/1000/1000</f>
        <v>6.25</v>
      </c>
      <c r="C33" s="4" t="s">
        <v>168</v>
      </c>
    </row>
    <row r="34" spans="1:4" x14ac:dyDescent="0.2">
      <c r="A34" t="s">
        <v>120</v>
      </c>
      <c r="B34">
        <f>-2*LN(2*C5/(C2-1))</f>
        <v>28.441951332144878</v>
      </c>
      <c r="C34" s="10" t="s">
        <v>162</v>
      </c>
    </row>
    <row r="35" spans="1:4" x14ac:dyDescent="0.2">
      <c r="A35" t="s">
        <v>3</v>
      </c>
      <c r="B35">
        <f>10*LOG10(B34)</f>
        <v>14.539593889533473</v>
      </c>
      <c r="C35" s="4" t="s">
        <v>121</v>
      </c>
      <c r="D35" t="s">
        <v>118</v>
      </c>
    </row>
    <row r="36" spans="1:4" x14ac:dyDescent="0.2">
      <c r="A36" t="s">
        <v>13</v>
      </c>
      <c r="B36" s="3">
        <f>B35+10*LOG10(B24)</f>
        <v>17.549893846173283</v>
      </c>
      <c r="C36" s="4" t="s">
        <v>48</v>
      </c>
      <c r="D36" t="s">
        <v>66</v>
      </c>
    </row>
    <row r="38" spans="1:4" x14ac:dyDescent="0.2">
      <c r="A38" s="2" t="s">
        <v>19</v>
      </c>
      <c r="B38" s="2" t="s">
        <v>2</v>
      </c>
      <c r="C38" s="2" t="s">
        <v>28</v>
      </c>
      <c r="D38" s="2" t="s">
        <v>52</v>
      </c>
    </row>
    <row r="39" spans="1:4" x14ac:dyDescent="0.2">
      <c r="A39" t="s">
        <v>124</v>
      </c>
      <c r="B39">
        <f>B29/B46</f>
        <v>2.1112144929577464E-6</v>
      </c>
      <c r="C39" t="s">
        <v>125</v>
      </c>
      <c r="D39" t="s">
        <v>126</v>
      </c>
    </row>
    <row r="40" spans="1:4" x14ac:dyDescent="0.2">
      <c r="A40" t="s">
        <v>127</v>
      </c>
      <c r="B40">
        <f>B39*206265</f>
        <v>0.43546965738992954</v>
      </c>
      <c r="C40" t="s">
        <v>128</v>
      </c>
      <c r="D40" t="s">
        <v>129</v>
      </c>
    </row>
    <row r="41" spans="1:4" x14ac:dyDescent="0.2">
      <c r="A41" t="s">
        <v>130</v>
      </c>
      <c r="B41">
        <v>0.1</v>
      </c>
      <c r="C41" t="s">
        <v>131</v>
      </c>
      <c r="D41" t="s">
        <v>132</v>
      </c>
    </row>
    <row r="42" spans="1:4" x14ac:dyDescent="0.2">
      <c r="A42" t="s">
        <v>133</v>
      </c>
      <c r="B42">
        <f>B41*C9*2/1000</f>
        <v>0.2</v>
      </c>
      <c r="C42" t="s">
        <v>134</v>
      </c>
      <c r="D42" t="s">
        <v>135</v>
      </c>
    </row>
    <row r="43" spans="1:4" x14ac:dyDescent="0.2">
      <c r="A43" t="s">
        <v>148</v>
      </c>
      <c r="B43">
        <f>B42*2</f>
        <v>0.4</v>
      </c>
      <c r="C43" t="s">
        <v>152</v>
      </c>
      <c r="D43" t="s">
        <v>149</v>
      </c>
    </row>
    <row r="44" spans="1:4" x14ac:dyDescent="0.2">
      <c r="A44" t="s">
        <v>150</v>
      </c>
      <c r="B44" s="11">
        <f>B29*206265 / B43</f>
        <v>108867.41434748238</v>
      </c>
      <c r="C44" t="s">
        <v>151</v>
      </c>
    </row>
    <row r="45" spans="1:4" x14ac:dyDescent="0.2">
      <c r="A45" t="s">
        <v>122</v>
      </c>
      <c r="B45" s="11">
        <f>ROUNDUP(SQRT(C12),0)*C10</f>
        <v>125</v>
      </c>
      <c r="C45" t="s">
        <v>123</v>
      </c>
      <c r="D45" t="s">
        <v>154</v>
      </c>
    </row>
    <row r="46" spans="1:4" x14ac:dyDescent="0.2">
      <c r="A46" t="s">
        <v>155</v>
      </c>
      <c r="B46" s="11">
        <f>MIN(MAX(B44,B45), 100000)</f>
        <v>100000</v>
      </c>
      <c r="C46" t="s">
        <v>165</v>
      </c>
      <c r="D46" t="s">
        <v>166</v>
      </c>
    </row>
    <row r="47" spans="1:4" x14ac:dyDescent="0.2">
      <c r="A47" t="s">
        <v>136</v>
      </c>
      <c r="B47" s="14">
        <f>B43/B40</f>
        <v>0.91854849864276722</v>
      </c>
      <c r="C47" t="s">
        <v>137</v>
      </c>
      <c r="D47" t="s">
        <v>138</v>
      </c>
    </row>
    <row r="49" spans="1:4" x14ac:dyDescent="0.2">
      <c r="A49" s="2" t="s">
        <v>4</v>
      </c>
      <c r="B49" s="2" t="s">
        <v>23</v>
      </c>
      <c r="C49" s="2" t="s">
        <v>20</v>
      </c>
      <c r="D49" s="2" t="s">
        <v>52</v>
      </c>
    </row>
    <row r="50" spans="1:4" x14ac:dyDescent="0.2">
      <c r="A50" t="s">
        <v>5</v>
      </c>
      <c r="B50" s="3">
        <f>10*LOG10(B32)</f>
        <v>67.95880017344075</v>
      </c>
      <c r="C50" t="s">
        <v>21</v>
      </c>
      <c r="D50" t="s">
        <v>58</v>
      </c>
    </row>
    <row r="51" spans="1:4" x14ac:dyDescent="0.2">
      <c r="A51" t="s">
        <v>6</v>
      </c>
      <c r="B51" s="3">
        <f>10*LOG10(C16*(PI()*B46/B29)^2)</f>
        <v>120.44205032634544</v>
      </c>
      <c r="C51" t="s">
        <v>22</v>
      </c>
      <c r="D51" t="s">
        <v>59</v>
      </c>
    </row>
    <row r="52" spans="1:4" x14ac:dyDescent="0.2">
      <c r="A52" t="s">
        <v>7</v>
      </c>
      <c r="B52" s="3">
        <f>SUM(B50:B51)</f>
        <v>188.4008504997862</v>
      </c>
      <c r="C52" t="s">
        <v>35</v>
      </c>
      <c r="D52" t="s">
        <v>60</v>
      </c>
    </row>
    <row r="53" spans="1:4" x14ac:dyDescent="0.2">
      <c r="A53" t="s">
        <v>8</v>
      </c>
      <c r="B53" s="3">
        <f>20*LOG10(B30)+20*LOG10(B28)+20*LOG10(4*PI()/C17)</f>
        <v>415.01229095920667</v>
      </c>
      <c r="C53" t="s">
        <v>36</v>
      </c>
      <c r="D53" t="s">
        <v>61</v>
      </c>
    </row>
    <row r="54" spans="1:4" x14ac:dyDescent="0.2">
      <c r="A54" t="s">
        <v>9</v>
      </c>
      <c r="B54" s="3">
        <f>10*LOG10(C16*(PI()*C13/B29)^2)</f>
        <v>62.720917372482177</v>
      </c>
      <c r="C54" t="s">
        <v>40</v>
      </c>
      <c r="D54" t="s">
        <v>62</v>
      </c>
    </row>
    <row r="55" spans="1:4" x14ac:dyDescent="0.2">
      <c r="A55" t="s">
        <v>10</v>
      </c>
      <c r="B55" s="3">
        <f>B52-B53+B54</f>
        <v>-163.89052308693829</v>
      </c>
      <c r="C55" t="s">
        <v>43</v>
      </c>
      <c r="D55" t="s">
        <v>63</v>
      </c>
    </row>
    <row r="56" spans="1:4" x14ac:dyDescent="0.2">
      <c r="A56" t="s">
        <v>11</v>
      </c>
      <c r="B56" s="3">
        <f>10*LOG10(C19*C14*C15)</f>
        <v>-192.40332155310369</v>
      </c>
      <c r="C56" s="4" t="s">
        <v>44</v>
      </c>
      <c r="D56" t="s">
        <v>64</v>
      </c>
    </row>
    <row r="57" spans="1:4" x14ac:dyDescent="0.2">
      <c r="A57" t="s">
        <v>12</v>
      </c>
      <c r="B57" s="3">
        <f>B55-B56</f>
        <v>28.512798466165407</v>
      </c>
      <c r="C57" s="4" t="s">
        <v>49</v>
      </c>
      <c r="D57" t="s">
        <v>65</v>
      </c>
    </row>
    <row r="58" spans="1:4" x14ac:dyDescent="0.2">
      <c r="B58" s="3"/>
      <c r="C58" s="4"/>
    </row>
    <row r="59" spans="1:4" x14ac:dyDescent="0.2">
      <c r="A59" s="2" t="s">
        <v>153</v>
      </c>
      <c r="B59" s="3"/>
      <c r="C59" s="4"/>
    </row>
    <row r="60" spans="1:4" x14ac:dyDescent="0.2">
      <c r="A60" t="s">
        <v>14</v>
      </c>
      <c r="B60" s="12">
        <f>B57-B36</f>
        <v>10.962904619992123</v>
      </c>
      <c r="C60" s="4" t="s">
        <v>50</v>
      </c>
      <c r="D60" t="s">
        <v>67</v>
      </c>
    </row>
    <row r="61" spans="1:4" x14ac:dyDescent="0.2">
      <c r="A61" t="s">
        <v>68</v>
      </c>
      <c r="B61">
        <f>B31/1000/(PI()*(C10/2)^2)</f>
        <v>0.50929581789406508</v>
      </c>
      <c r="C61" s="4" t="s">
        <v>159</v>
      </c>
      <c r="D61" t="s">
        <v>160</v>
      </c>
    </row>
    <row r="62" spans="1:4" x14ac:dyDescent="0.2">
      <c r="A62" t="s">
        <v>139</v>
      </c>
      <c r="B62" t="str">
        <f>IF(B47&lt;=1,"YES","NO")</f>
        <v>YES</v>
      </c>
      <c r="C62" s="4" t="s">
        <v>161</v>
      </c>
    </row>
    <row r="63" spans="1:4" x14ac:dyDescent="0.2">
      <c r="A63" t="s">
        <v>15</v>
      </c>
      <c r="B63" t="str">
        <f>IF(B60&gt;0,"YES","NO")</f>
        <v>YES</v>
      </c>
      <c r="C63" t="s">
        <v>157</v>
      </c>
    </row>
    <row r="64" spans="1:4" x14ac:dyDescent="0.2">
      <c r="A64" t="s">
        <v>156</v>
      </c>
      <c r="B64" t="str">
        <f>IF(B60&gt;=10, "YES", "NO")</f>
        <v>YES</v>
      </c>
      <c r="C64" t="s">
        <v>158</v>
      </c>
    </row>
    <row r="65" spans="1:4" x14ac:dyDescent="0.2">
      <c r="A65" t="s">
        <v>82</v>
      </c>
      <c r="B65" t="str">
        <f>IF(B61&lt;10, "YES", "NO")</f>
        <v>YES</v>
      </c>
      <c r="D65" s="8"/>
    </row>
    <row r="67" spans="1:4" x14ac:dyDescent="0.2">
      <c r="A67" s="2" t="s">
        <v>141</v>
      </c>
      <c r="B67" s="2"/>
    </row>
    <row r="68" spans="1:4" x14ac:dyDescent="0.2">
      <c r="A68" t="s">
        <v>142</v>
      </c>
      <c r="B68">
        <v>0.8</v>
      </c>
    </row>
    <row r="69" spans="1:4" x14ac:dyDescent="0.2">
      <c r="A69" t="s">
        <v>143</v>
      </c>
      <c r="B69">
        <v>0.02</v>
      </c>
    </row>
    <row r="70" spans="1:4" x14ac:dyDescent="0.2">
      <c r="A70" t="s">
        <v>145</v>
      </c>
      <c r="B70">
        <f>B80/B68</f>
        <v>7.8125E-3</v>
      </c>
    </row>
    <row r="71" spans="1:4" x14ac:dyDescent="0.2">
      <c r="A71" t="s">
        <v>144</v>
      </c>
      <c r="B71">
        <f>B80/B69</f>
        <v>0.3125</v>
      </c>
      <c r="C71" t="s">
        <v>169</v>
      </c>
    </row>
    <row r="74" spans="1:4" x14ac:dyDescent="0.2">
      <c r="A74" s="2" t="s">
        <v>140</v>
      </c>
    </row>
    <row r="75" spans="1:4" x14ac:dyDescent="0.2">
      <c r="D75" s="8"/>
    </row>
    <row r="77" spans="1:4" x14ac:dyDescent="0.2">
      <c r="A77" t="s">
        <v>77</v>
      </c>
      <c r="B77">
        <v>3300</v>
      </c>
    </row>
    <row r="78" spans="1:4" x14ac:dyDescent="0.2">
      <c r="A78" t="s">
        <v>76</v>
      </c>
      <c r="B78">
        <f>B77*1000</f>
        <v>3300000</v>
      </c>
    </row>
    <row r="79" spans="1:4" x14ac:dyDescent="0.2">
      <c r="A79" t="s">
        <v>74</v>
      </c>
      <c r="B79">
        <f>C11*C12</f>
        <v>6.25</v>
      </c>
    </row>
    <row r="80" spans="1:4" x14ac:dyDescent="0.2">
      <c r="A80" t="s">
        <v>75</v>
      </c>
      <c r="B80">
        <f>B79/1000</f>
        <v>6.2500000000000003E-3</v>
      </c>
    </row>
    <row r="81" spans="1:5" x14ac:dyDescent="0.2">
      <c r="A81" t="s">
        <v>78</v>
      </c>
      <c r="B81" s="9">
        <f>B80/B78</f>
        <v>1.8939393939393941E-9</v>
      </c>
    </row>
    <row r="82" spans="1:5" x14ac:dyDescent="0.2">
      <c r="A82" t="s">
        <v>79</v>
      </c>
      <c r="B82" s="7">
        <f>B78/B80</f>
        <v>528000000</v>
      </c>
    </row>
    <row r="88" spans="1:5" x14ac:dyDescent="0.2">
      <c r="A88" t="s">
        <v>238</v>
      </c>
      <c r="B88" t="s">
        <v>240</v>
      </c>
      <c r="C88" t="s">
        <v>242</v>
      </c>
      <c r="D88" t="s">
        <v>243</v>
      </c>
      <c r="E88" t="s">
        <v>244</v>
      </c>
    </row>
    <row r="89" spans="1:5" x14ac:dyDescent="0.2">
      <c r="A89" s="11">
        <v>81.267523059669358</v>
      </c>
      <c r="B89">
        <v>371</v>
      </c>
      <c r="C89">
        <f>SUM($B$89:B89)</f>
        <v>371</v>
      </c>
      <c r="D89" s="7">
        <f>(4*PI()*(A89/2)^2)</f>
        <v>20748.366893136754</v>
      </c>
      <c r="E89" s="17">
        <f>C89/D89</f>
        <v>1.7880925371660032E-2</v>
      </c>
    </row>
    <row r="90" spans="1:5" x14ac:dyDescent="0.2">
      <c r="A90" s="11">
        <v>162.97037980934817</v>
      </c>
      <c r="B90">
        <v>2673</v>
      </c>
      <c r="C90">
        <f>SUM($B$89:B90)</f>
        <v>3044</v>
      </c>
      <c r="D90" s="7">
        <f t="shared" ref="D90:D97" si="0">(4*PI()*(A90/2)^2)</f>
        <v>83438.642178609414</v>
      </c>
      <c r="E90" s="17">
        <f t="shared" ref="E90:E97" si="1">C90/D90</f>
        <v>3.6481897601880788E-2</v>
      </c>
    </row>
    <row r="91" spans="1:5" x14ac:dyDescent="0.2">
      <c r="A91" s="11">
        <v>244.4955580717386</v>
      </c>
      <c r="B91">
        <v>8011</v>
      </c>
      <c r="C91">
        <f>SUM($B$89:B91)</f>
        <v>11055</v>
      </c>
      <c r="D91" s="7">
        <f t="shared" si="0"/>
        <v>187798.37042917137</v>
      </c>
      <c r="E91" s="17">
        <f t="shared" si="1"/>
        <v>5.8866325489067124E-2</v>
      </c>
    </row>
    <row r="92" spans="1:5" x14ac:dyDescent="0.2">
      <c r="A92" s="11">
        <v>570.49992483281733</v>
      </c>
      <c r="B92">
        <v>136151</v>
      </c>
      <c r="C92">
        <f>SUM($B$89:B92)</f>
        <v>147206</v>
      </c>
      <c r="D92" s="7">
        <f t="shared" si="0"/>
        <v>1022494.6769209838</v>
      </c>
      <c r="E92" s="17">
        <f t="shared" si="1"/>
        <v>0.14396749765316946</v>
      </c>
    </row>
    <row r="93" spans="1:5" x14ac:dyDescent="0.2">
      <c r="A93" s="11">
        <v>1059.4999183014138</v>
      </c>
      <c r="B93">
        <v>609589</v>
      </c>
      <c r="C93">
        <f>SUM($B$89:B93)</f>
        <v>756795</v>
      </c>
      <c r="D93" s="7">
        <f t="shared" si="0"/>
        <v>3526563.6588885365</v>
      </c>
      <c r="E93" s="18">
        <f t="shared" si="1"/>
        <v>0.21459842305484381</v>
      </c>
    </row>
    <row r="94" spans="1:5" x14ac:dyDescent="0.2">
      <c r="A94" s="11">
        <v>2526.4998303980792</v>
      </c>
      <c r="B94">
        <v>5998762</v>
      </c>
      <c r="C94">
        <f>SUM($B$89:B94)</f>
        <v>6755557</v>
      </c>
      <c r="D94" s="7">
        <f t="shared" si="0"/>
        <v>20053418.602637719</v>
      </c>
      <c r="E94" s="17">
        <f t="shared" si="1"/>
        <v>0.33687807220617288</v>
      </c>
    </row>
    <row r="95" spans="1:5" x14ac:dyDescent="0.2">
      <c r="A95" s="11">
        <v>5052.9998811165688</v>
      </c>
      <c r="B95">
        <v>15816825</v>
      </c>
      <c r="C95">
        <f>SUM($B$89:B95)</f>
        <v>22572382</v>
      </c>
      <c r="D95" s="7">
        <f t="shared" si="0"/>
        <v>80213681.405489028</v>
      </c>
      <c r="E95" s="17">
        <f t="shared" si="1"/>
        <v>0.28140314226315227</v>
      </c>
    </row>
    <row r="96" spans="1:5" x14ac:dyDescent="0.2">
      <c r="A96" s="11">
        <v>10024.49977255032</v>
      </c>
      <c r="B96" s="8">
        <v>14835017</v>
      </c>
      <c r="C96">
        <f>SUM($B$89:B96)</f>
        <v>37407399</v>
      </c>
      <c r="D96" s="7">
        <f t="shared" si="0"/>
        <v>315700517.17413074</v>
      </c>
      <c r="E96" s="17">
        <f t="shared" si="1"/>
        <v>0.11849014165335442</v>
      </c>
    </row>
    <row r="97" spans="1:5" x14ac:dyDescent="0.2">
      <c r="A97" t="s">
        <v>241</v>
      </c>
      <c r="B97" s="8">
        <v>15784685</v>
      </c>
      <c r="C97">
        <f>SUM($B$89:B97)</f>
        <v>53192084</v>
      </c>
      <c r="D97" s="7" t="e">
        <f t="shared" si="0"/>
        <v>#VALUE!</v>
      </c>
      <c r="E97" s="17" t="e">
        <f t="shared" si="1"/>
        <v>#VALUE!</v>
      </c>
    </row>
    <row r="100" spans="1:5" x14ac:dyDescent="0.2">
      <c r="A100" t="s">
        <v>146</v>
      </c>
      <c r="B100" s="7">
        <f>C97*(B45/1000)</f>
        <v>6649010.5</v>
      </c>
    </row>
    <row r="101" spans="1:5" x14ac:dyDescent="0.2">
      <c r="A101" t="s">
        <v>147</v>
      </c>
      <c r="B101" s="7">
        <f>C12*C97</f>
        <v>1329802100</v>
      </c>
    </row>
    <row r="113" spans="4:8" x14ac:dyDescent="0.2">
      <c r="D113" t="s">
        <v>238</v>
      </c>
      <c r="E113" t="s">
        <v>239</v>
      </c>
      <c r="F113" t="s">
        <v>240</v>
      </c>
    </row>
    <row r="114" spans="4:8" x14ac:dyDescent="0.2">
      <c r="D114" t="s">
        <v>80</v>
      </c>
      <c r="E114" t="s">
        <v>80</v>
      </c>
      <c r="F114" t="s">
        <v>80</v>
      </c>
    </row>
    <row r="115" spans="4:8" x14ac:dyDescent="0.2">
      <c r="D115">
        <v>81</v>
      </c>
      <c r="E115">
        <v>5323</v>
      </c>
      <c r="F115">
        <v>371</v>
      </c>
      <c r="G115" s="7"/>
      <c r="H115" s="7"/>
    </row>
    <row r="116" spans="4:8" x14ac:dyDescent="0.2">
      <c r="D116">
        <v>163</v>
      </c>
      <c r="E116" s="8">
        <v>51970</v>
      </c>
      <c r="F116" s="8">
        <v>3044</v>
      </c>
      <c r="G116" s="7"/>
      <c r="H116" s="7"/>
    </row>
    <row r="117" spans="4:8" x14ac:dyDescent="0.2">
      <c r="D117">
        <v>244</v>
      </c>
      <c r="E117" s="8">
        <v>214858</v>
      </c>
      <c r="F117" s="8">
        <v>11055</v>
      </c>
      <c r="G117" s="7"/>
      <c r="H117" s="7"/>
    </row>
    <row r="118" spans="4:8" x14ac:dyDescent="0.2">
      <c r="D118">
        <v>570</v>
      </c>
      <c r="E118" s="8">
        <v>2661223</v>
      </c>
      <c r="F118" s="8">
        <v>147206</v>
      </c>
      <c r="G118" s="7"/>
      <c r="H118" s="7"/>
    </row>
    <row r="119" spans="4:8" x14ac:dyDescent="0.2">
      <c r="D119">
        <v>1059</v>
      </c>
      <c r="E119" s="8">
        <v>10577931</v>
      </c>
      <c r="F119" s="8">
        <v>756795</v>
      </c>
      <c r="G119" s="7"/>
      <c r="H119" s="7"/>
    </row>
    <row r="120" spans="4:8" x14ac:dyDescent="0.2">
      <c r="D120">
        <v>2526</v>
      </c>
      <c r="E120" s="8">
        <v>48922700</v>
      </c>
      <c r="F120" s="8">
        <v>6755557</v>
      </c>
      <c r="G120" s="7"/>
      <c r="H120" s="7"/>
    </row>
    <row r="121" spans="4:8" x14ac:dyDescent="0.2">
      <c r="D121">
        <v>5053</v>
      </c>
      <c r="E121" s="8">
        <v>117277445</v>
      </c>
      <c r="F121" s="8">
        <v>22572382</v>
      </c>
      <c r="G121" s="7"/>
      <c r="H121" s="7"/>
    </row>
    <row r="122" spans="4:8" x14ac:dyDescent="0.2">
      <c r="D122">
        <v>10024</v>
      </c>
      <c r="E122" s="8">
        <v>222440774</v>
      </c>
      <c r="F122" s="8">
        <v>37407399</v>
      </c>
      <c r="G122" s="7"/>
      <c r="H122" s="7"/>
    </row>
    <row r="123" spans="4:8" x14ac:dyDescent="0.2">
      <c r="D123" t="s">
        <v>241</v>
      </c>
      <c r="E123" s="8">
        <v>346294851</v>
      </c>
      <c r="F123" s="8">
        <v>53192084</v>
      </c>
      <c r="G123" s="7"/>
      <c r="H123" s="7"/>
    </row>
  </sheetData>
  <pageMargins left="0.75" right="0.75" top="1" bottom="1" header="0.5" footer="0.5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6B43C-CFE1-5443-93D8-2382E10EA382}">
  <dimension ref="B1:M47"/>
  <sheetViews>
    <sheetView topLeftCell="B22" zoomScale="125" workbookViewId="0">
      <selection activeCell="I44" sqref="I44"/>
    </sheetView>
  </sheetViews>
  <sheetFormatPr baseColWidth="10" defaultRowHeight="16" x14ac:dyDescent="0.2"/>
  <cols>
    <col min="1" max="1" width="15.5" customWidth="1"/>
    <col min="2" max="2" width="20.33203125" customWidth="1"/>
    <col min="3" max="3" width="17.5" customWidth="1"/>
    <col min="4" max="4" width="27.83203125" customWidth="1"/>
    <col min="7" max="7" width="19" customWidth="1"/>
    <col min="9" max="9" width="21.1640625" bestFit="1" customWidth="1"/>
  </cols>
  <sheetData>
    <row r="1" spans="2:13" x14ac:dyDescent="0.2">
      <c r="B1" t="s">
        <v>2</v>
      </c>
      <c r="C1" t="s">
        <v>84</v>
      </c>
      <c r="D1" t="s">
        <v>211</v>
      </c>
      <c r="G1" t="s">
        <v>2</v>
      </c>
      <c r="H1" t="s">
        <v>84</v>
      </c>
      <c r="I1" t="s">
        <v>211</v>
      </c>
      <c r="M1" t="s">
        <v>253</v>
      </c>
    </row>
    <row r="2" spans="2:13" x14ac:dyDescent="0.2">
      <c r="B2">
        <v>1</v>
      </c>
      <c r="C2" t="s">
        <v>212</v>
      </c>
      <c r="D2" t="s">
        <v>206</v>
      </c>
      <c r="G2">
        <v>1</v>
      </c>
      <c r="H2" t="s">
        <v>256</v>
      </c>
      <c r="I2" t="s">
        <v>255</v>
      </c>
      <c r="M2" t="s">
        <v>202</v>
      </c>
    </row>
    <row r="3" spans="2:13" x14ac:dyDescent="0.2">
      <c r="B3">
        <v>1</v>
      </c>
      <c r="C3" t="s">
        <v>213</v>
      </c>
      <c r="D3" t="s">
        <v>207</v>
      </c>
      <c r="G3" s="16">
        <f>B26</f>
        <v>493374.54982256616</v>
      </c>
      <c r="H3" t="s">
        <v>32</v>
      </c>
      <c r="I3" t="s">
        <v>257</v>
      </c>
      <c r="M3" t="s">
        <v>203</v>
      </c>
    </row>
    <row r="4" spans="2:13" x14ac:dyDescent="0.2">
      <c r="B4">
        <v>0.64</v>
      </c>
      <c r="C4" t="s">
        <v>94</v>
      </c>
      <c r="D4" t="s">
        <v>208</v>
      </c>
      <c r="G4">
        <v>100</v>
      </c>
      <c r="H4" t="s">
        <v>30</v>
      </c>
      <c r="I4" t="s">
        <v>258</v>
      </c>
      <c r="M4" t="s">
        <v>204</v>
      </c>
    </row>
    <row r="5" spans="2:13" x14ac:dyDescent="0.2">
      <c r="G5" s="21">
        <f>2/G3</f>
        <v>4.0537153785481357E-6</v>
      </c>
      <c r="H5" t="s">
        <v>270</v>
      </c>
      <c r="I5" t="s">
        <v>269</v>
      </c>
      <c r="M5" t="s">
        <v>205</v>
      </c>
    </row>
    <row r="6" spans="2:13" x14ac:dyDescent="0.2">
      <c r="B6">
        <f>(B4^2+B2^2-B3^2)/(2*B4)</f>
        <v>0.31999999999999995</v>
      </c>
      <c r="C6" t="s">
        <v>214</v>
      </c>
      <c r="D6" t="s">
        <v>209</v>
      </c>
      <c r="G6" s="16">
        <f>G2*G3*G4*G5</f>
        <v>199.99999999999997</v>
      </c>
      <c r="H6" t="s">
        <v>267</v>
      </c>
      <c r="I6" t="s">
        <v>268</v>
      </c>
    </row>
    <row r="7" spans="2:13" x14ac:dyDescent="0.2">
      <c r="B7">
        <f>B4-B6</f>
        <v>0.32000000000000006</v>
      </c>
      <c r="C7" t="s">
        <v>215</v>
      </c>
      <c r="D7" t="s">
        <v>210</v>
      </c>
    </row>
    <row r="8" spans="2:13" x14ac:dyDescent="0.2">
      <c r="B8">
        <f>B2-B6</f>
        <v>0.68</v>
      </c>
      <c r="C8" t="s">
        <v>220</v>
      </c>
      <c r="D8" t="s">
        <v>216</v>
      </c>
      <c r="G8">
        <f>80000/2</f>
        <v>40000</v>
      </c>
      <c r="I8" t="s">
        <v>259</v>
      </c>
      <c r="M8" t="s">
        <v>254</v>
      </c>
    </row>
    <row r="9" spans="2:13" x14ac:dyDescent="0.2">
      <c r="B9">
        <f>B3-B7</f>
        <v>0.67999999999999994</v>
      </c>
      <c r="C9" t="s">
        <v>221</v>
      </c>
      <c r="D9" t="s">
        <v>217</v>
      </c>
      <c r="G9">
        <v>26000</v>
      </c>
      <c r="I9" t="s">
        <v>260</v>
      </c>
    </row>
    <row r="10" spans="2:13" x14ac:dyDescent="0.2">
      <c r="B10">
        <f>(PI()/3)*B8^2*(3*B2-B8)</f>
        <v>1.1234000226020717</v>
      </c>
      <c r="C10" t="s">
        <v>222</v>
      </c>
      <c r="D10" t="s">
        <v>218</v>
      </c>
      <c r="G10" s="11">
        <f>G9*2*PI()</f>
        <v>163362.81798666925</v>
      </c>
      <c r="H10" t="s">
        <v>263</v>
      </c>
      <c r="I10" t="s">
        <v>261</v>
      </c>
    </row>
    <row r="11" spans="2:13" x14ac:dyDescent="0.2">
      <c r="B11">
        <f>(PI()/3)*B9^2*(3*B3-B9)</f>
        <v>1.1234000226020717</v>
      </c>
      <c r="C11" t="s">
        <v>223</v>
      </c>
      <c r="D11" t="s">
        <v>219</v>
      </c>
      <c r="G11" s="11">
        <f>G8*2*PI()</f>
        <v>251327.41228718346</v>
      </c>
      <c r="I11" t="s">
        <v>262</v>
      </c>
    </row>
    <row r="12" spans="2:13" x14ac:dyDescent="0.2">
      <c r="B12">
        <f>B10+B11</f>
        <v>2.2468000452041434</v>
      </c>
      <c r="C12" t="s">
        <v>224</v>
      </c>
      <c r="D12" t="s">
        <v>225</v>
      </c>
    </row>
    <row r="13" spans="2:13" x14ac:dyDescent="0.2">
      <c r="B13">
        <f>(4/3)*PI()*B2^3</f>
        <v>4.1887902047863905</v>
      </c>
      <c r="C13" t="s">
        <v>229</v>
      </c>
      <c r="D13" t="s">
        <v>226</v>
      </c>
    </row>
    <row r="14" spans="2:13" x14ac:dyDescent="0.2">
      <c r="B14">
        <f>(4/3)*PI()*B3^3</f>
        <v>4.1887902047863905</v>
      </c>
      <c r="C14" t="s">
        <v>230</v>
      </c>
      <c r="D14" t="s">
        <v>227</v>
      </c>
      <c r="G14" s="1">
        <f>1/G10</f>
        <v>6.1213439650728976E-6</v>
      </c>
      <c r="H14" t="s">
        <v>265</v>
      </c>
      <c r="I14" t="s">
        <v>264</v>
      </c>
    </row>
    <row r="15" spans="2:13" x14ac:dyDescent="0.2">
      <c r="G15" s="20">
        <f>1/(G2*G3*G4*G14)</f>
        <v>3.3111318377776061E-3</v>
      </c>
      <c r="H15" t="s">
        <v>266</v>
      </c>
    </row>
    <row r="16" spans="2:13" x14ac:dyDescent="0.2">
      <c r="B16">
        <f>B13+B14-B12</f>
        <v>6.130780364368638</v>
      </c>
      <c r="C16" t="s">
        <v>231</v>
      </c>
      <c r="D16" t="s">
        <v>228</v>
      </c>
    </row>
    <row r="17" spans="2:9" x14ac:dyDescent="0.2">
      <c r="B17">
        <f>B13-B10</f>
        <v>3.065390182184319</v>
      </c>
      <c r="C17" t="s">
        <v>234</v>
      </c>
      <c r="D17" t="s">
        <v>232</v>
      </c>
    </row>
    <row r="18" spans="2:9" x14ac:dyDescent="0.2">
      <c r="B18">
        <f>B14-B11</f>
        <v>3.065390182184319</v>
      </c>
      <c r="C18" t="s">
        <v>235</v>
      </c>
      <c r="D18" t="s">
        <v>233</v>
      </c>
    </row>
    <row r="19" spans="2:9" x14ac:dyDescent="0.2">
      <c r="B19" s="6">
        <f>B17/B13</f>
        <v>0.73180800000000001</v>
      </c>
      <c r="C19" t="s">
        <v>249</v>
      </c>
      <c r="D19" t="s">
        <v>247</v>
      </c>
    </row>
    <row r="20" spans="2:9" x14ac:dyDescent="0.2">
      <c r="B20" s="6">
        <f>B18/B14</f>
        <v>0.73180800000000001</v>
      </c>
      <c r="C20" t="s">
        <v>250</v>
      </c>
      <c r="D20" t="s">
        <v>248</v>
      </c>
    </row>
    <row r="22" spans="2:9" x14ac:dyDescent="0.2">
      <c r="B22" s="1">
        <f>4*PI()*('1000ly total summary-result'!C9/2)^2</f>
        <v>3141592.653589793</v>
      </c>
      <c r="C22" t="s">
        <v>237</v>
      </c>
      <c r="D22" t="s">
        <v>236</v>
      </c>
    </row>
    <row r="23" spans="2:9" x14ac:dyDescent="0.2">
      <c r="B23" s="13">
        <v>0.21460000000000001</v>
      </c>
      <c r="C23" t="s">
        <v>246</v>
      </c>
      <c r="D23" t="s">
        <v>245</v>
      </c>
    </row>
    <row r="24" spans="2:9" x14ac:dyDescent="0.2">
      <c r="B24" s="7">
        <f>B22*B23</f>
        <v>674185.78346036957</v>
      </c>
      <c r="D24" t="s">
        <v>252</v>
      </c>
    </row>
    <row r="26" spans="2:9" x14ac:dyDescent="0.2">
      <c r="B26" s="19">
        <f>B20*B24</f>
        <v>493374.54982256616</v>
      </c>
      <c r="D26" s="2" t="s">
        <v>251</v>
      </c>
      <c r="H26" s="15"/>
    </row>
    <row r="27" spans="2:9" x14ac:dyDescent="0.2">
      <c r="H27" s="15"/>
    </row>
    <row r="28" spans="2:9" x14ac:dyDescent="0.2">
      <c r="H28" s="15" t="s">
        <v>271</v>
      </c>
      <c r="I28">
        <v>86000</v>
      </c>
    </row>
    <row r="29" spans="2:9" x14ac:dyDescent="0.2">
      <c r="H29" s="15" t="s">
        <v>272</v>
      </c>
      <c r="I29">
        <f>I28/2</f>
        <v>43000</v>
      </c>
    </row>
    <row r="30" spans="2:9" x14ac:dyDescent="0.2">
      <c r="H30" s="15" t="s">
        <v>273</v>
      </c>
      <c r="I30">
        <v>1000</v>
      </c>
    </row>
    <row r="31" spans="2:9" x14ac:dyDescent="0.2">
      <c r="H31" s="15" t="s">
        <v>274</v>
      </c>
      <c r="I31" s="22">
        <v>0.3</v>
      </c>
    </row>
    <row r="32" spans="2:9" x14ac:dyDescent="0.2">
      <c r="H32" s="15" t="s">
        <v>274</v>
      </c>
      <c r="I32">
        <f>I29*I31</f>
        <v>12900</v>
      </c>
    </row>
    <row r="33" spans="8:11" x14ac:dyDescent="0.2">
      <c r="H33" s="15"/>
    </row>
    <row r="34" spans="8:11" x14ac:dyDescent="0.2">
      <c r="H34" s="15" t="s">
        <v>275</v>
      </c>
      <c r="I34" s="7">
        <f>PI()*I29^2 * I30</f>
        <v>5808804816487.5283</v>
      </c>
    </row>
    <row r="35" spans="8:11" x14ac:dyDescent="0.2">
      <c r="H35" s="15" t="s">
        <v>276</v>
      </c>
      <c r="I35" s="7">
        <f>PI()*I32^2*I30</f>
        <v>522792433483.8775</v>
      </c>
    </row>
    <row r="36" spans="8:11" x14ac:dyDescent="0.2">
      <c r="H36" s="15" t="s">
        <v>277</v>
      </c>
      <c r="I36" s="7">
        <f>I34-I35</f>
        <v>5286012383003.6504</v>
      </c>
    </row>
    <row r="37" spans="8:11" x14ac:dyDescent="0.2">
      <c r="H37" s="15"/>
    </row>
    <row r="38" spans="8:11" x14ac:dyDescent="0.2">
      <c r="H38" s="15"/>
      <c r="I38" s="1">
        <v>5200000000000</v>
      </c>
    </row>
    <row r="39" spans="8:11" x14ac:dyDescent="0.2">
      <c r="H39" s="15"/>
    </row>
    <row r="40" spans="8:11" x14ac:dyDescent="0.2">
      <c r="H40" s="15" t="s">
        <v>278</v>
      </c>
      <c r="I40">
        <v>640</v>
      </c>
      <c r="K40" t="s">
        <v>280</v>
      </c>
    </row>
    <row r="41" spans="8:11" x14ac:dyDescent="0.2">
      <c r="H41" s="15" t="s">
        <v>279</v>
      </c>
      <c r="I41" s="1">
        <f>4/3*PI()*(I40/2)^3</f>
        <v>137258277.43044046</v>
      </c>
      <c r="K41" s="17">
        <f>I36/I41</f>
        <v>38511.428833007812</v>
      </c>
    </row>
    <row r="42" spans="8:11" x14ac:dyDescent="0.2">
      <c r="H42" s="15"/>
    </row>
    <row r="43" spans="8:11" x14ac:dyDescent="0.2">
      <c r="H43" s="15" t="s">
        <v>281</v>
      </c>
      <c r="I43">
        <v>1000</v>
      </c>
    </row>
    <row r="44" spans="8:11" x14ac:dyDescent="0.2">
      <c r="H44" s="15" t="s">
        <v>279</v>
      </c>
      <c r="I44" s="1">
        <f>4/3*PI()*(I43/2)^3</f>
        <v>523598775.59829879</v>
      </c>
      <c r="K44" t="s">
        <v>282</v>
      </c>
    </row>
    <row r="45" spans="8:11" x14ac:dyDescent="0.2">
      <c r="H45" s="15"/>
      <c r="K45" s="1">
        <f>I44/I41</f>
        <v>3.8146972656249996</v>
      </c>
    </row>
    <row r="46" spans="8:11" x14ac:dyDescent="0.2">
      <c r="H46" s="15"/>
      <c r="K46" t="s">
        <v>283</v>
      </c>
    </row>
    <row r="47" spans="8:11" x14ac:dyDescent="0.2">
      <c r="K47" s="1">
        <f>K45-2</f>
        <v>1.8146972656249996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B201E-BA02-634D-8519-F8712F69A0B7}">
  <dimension ref="B2:D33"/>
  <sheetViews>
    <sheetView workbookViewId="0">
      <selection activeCell="F15" sqref="F15"/>
    </sheetView>
  </sheetViews>
  <sheetFormatPr baseColWidth="10" defaultRowHeight="16" x14ac:dyDescent="0.2"/>
  <cols>
    <col min="2" max="2" width="16.6640625" bestFit="1" customWidth="1"/>
    <col min="3" max="3" width="23.1640625" customWidth="1"/>
  </cols>
  <sheetData>
    <row r="2" spans="2:4" x14ac:dyDescent="0.2">
      <c r="B2" s="15" t="s">
        <v>170</v>
      </c>
      <c r="C2">
        <v>126000</v>
      </c>
      <c r="D2" t="s">
        <v>171</v>
      </c>
    </row>
    <row r="3" spans="2:4" x14ac:dyDescent="0.2">
      <c r="B3" s="15" t="s">
        <v>172</v>
      </c>
      <c r="C3">
        <v>1700</v>
      </c>
      <c r="D3" t="s">
        <v>173</v>
      </c>
    </row>
    <row r="4" spans="2:4" x14ac:dyDescent="0.2">
      <c r="B4" s="15" t="s">
        <v>174</v>
      </c>
      <c r="C4">
        <f>C2/C3</f>
        <v>74.117647058823536</v>
      </c>
    </row>
    <row r="5" spans="2:4" x14ac:dyDescent="0.2">
      <c r="B5" s="15" t="s">
        <v>175</v>
      </c>
      <c r="C5">
        <f>C4/365</f>
        <v>0.20306204673650283</v>
      </c>
    </row>
    <row r="8" spans="2:4" x14ac:dyDescent="0.2">
      <c r="B8" t="s">
        <v>176</v>
      </c>
      <c r="C8" s="7">
        <v>7300000000</v>
      </c>
    </row>
    <row r="9" spans="2:4" x14ac:dyDescent="0.2">
      <c r="B9" t="s">
        <v>177</v>
      </c>
      <c r="C9" s="16">
        <f>C8*$C$5</f>
        <v>1482352941.1764705</v>
      </c>
    </row>
    <row r="10" spans="2:4" x14ac:dyDescent="0.2">
      <c r="B10" t="s">
        <v>178</v>
      </c>
      <c r="C10" s="16">
        <f t="shared" ref="C10:C33" si="0">C9*$C$5</f>
        <v>301009622.22116888</v>
      </c>
    </row>
    <row r="11" spans="2:4" x14ac:dyDescent="0.2">
      <c r="B11" t="s">
        <v>179</v>
      </c>
      <c r="C11" s="16">
        <f t="shared" si="0"/>
        <v>61123629.975612052</v>
      </c>
    </row>
    <row r="12" spans="2:4" x14ac:dyDescent="0.2">
      <c r="B12" t="s">
        <v>180</v>
      </c>
      <c r="C12" s="16">
        <f t="shared" si="0"/>
        <v>12411889.406812439</v>
      </c>
    </row>
    <row r="13" spans="2:4" x14ac:dyDescent="0.2">
      <c r="B13" t="s">
        <v>181</v>
      </c>
      <c r="C13" s="16">
        <f t="shared" si="0"/>
        <v>2520383.6668144516</v>
      </c>
    </row>
    <row r="14" spans="2:4" x14ac:dyDescent="0.2">
      <c r="B14" t="s">
        <v>182</v>
      </c>
      <c r="C14" s="16">
        <f t="shared" si="0"/>
        <v>511794.26594459452</v>
      </c>
    </row>
    <row r="15" spans="2:4" x14ac:dyDescent="0.2">
      <c r="B15" t="s">
        <v>183</v>
      </c>
      <c r="C15" s="16">
        <f t="shared" si="0"/>
        <v>103925.9911507154</v>
      </c>
    </row>
    <row r="16" spans="2:4" x14ac:dyDescent="0.2">
      <c r="B16" t="s">
        <v>184</v>
      </c>
      <c r="C16" s="16">
        <f t="shared" si="0"/>
        <v>21103.42447218395</v>
      </c>
    </row>
    <row r="17" spans="2:3" x14ac:dyDescent="0.2">
      <c r="B17" t="s">
        <v>185</v>
      </c>
      <c r="C17" s="16">
        <f t="shared" si="0"/>
        <v>4285.3045664708743</v>
      </c>
    </row>
    <row r="18" spans="2:3" x14ac:dyDescent="0.2">
      <c r="B18" t="s">
        <v>186</v>
      </c>
      <c r="C18" s="16">
        <f t="shared" si="0"/>
        <v>870.18271615685762</v>
      </c>
    </row>
    <row r="19" spans="2:3" x14ac:dyDescent="0.2">
      <c r="B19" t="s">
        <v>187</v>
      </c>
      <c r="C19" s="16">
        <f t="shared" si="0"/>
        <v>176.70108337754078</v>
      </c>
    </row>
    <row r="20" spans="2:3" x14ac:dyDescent="0.2">
      <c r="B20" t="s">
        <v>188</v>
      </c>
      <c r="C20" s="16">
        <f t="shared" si="0"/>
        <v>35.881283651200867</v>
      </c>
    </row>
    <row r="21" spans="2:3" x14ac:dyDescent="0.2">
      <c r="B21" t="s">
        <v>189</v>
      </c>
      <c r="C21" s="16">
        <f t="shared" si="0"/>
        <v>7.2861268977458655</v>
      </c>
    </row>
    <row r="22" spans="2:3" x14ac:dyDescent="0.2">
      <c r="B22" t="s">
        <v>190</v>
      </c>
      <c r="C22" s="16">
        <f t="shared" si="0"/>
        <v>1.4795358406381613</v>
      </c>
    </row>
    <row r="23" spans="2:3" x14ac:dyDescent="0.2">
      <c r="B23" t="s">
        <v>191</v>
      </c>
      <c r="C23" s="16">
        <f t="shared" si="0"/>
        <v>0.30043757601999732</v>
      </c>
    </row>
    <row r="24" spans="2:3" x14ac:dyDescent="0.2">
      <c r="B24" t="s">
        <v>192</v>
      </c>
      <c r="C24" s="16">
        <f t="shared" si="0"/>
        <v>6.1007469103174318E-2</v>
      </c>
    </row>
    <row r="25" spans="2:3" x14ac:dyDescent="0.2">
      <c r="B25" t="s">
        <v>193</v>
      </c>
      <c r="C25" s="16">
        <f t="shared" si="0"/>
        <v>1.2388301542304535E-2</v>
      </c>
    </row>
    <row r="26" spans="2:3" x14ac:dyDescent="0.2">
      <c r="B26" t="s">
        <v>194</v>
      </c>
      <c r="C26" s="16">
        <f t="shared" si="0"/>
        <v>2.5155938667693338E-3</v>
      </c>
    </row>
    <row r="27" spans="2:3" x14ac:dyDescent="0.2">
      <c r="B27" t="s">
        <v>195</v>
      </c>
      <c r="C27" s="16">
        <f t="shared" si="0"/>
        <v>5.1082163934397431E-4</v>
      </c>
    </row>
    <row r="28" spans="2:3" x14ac:dyDescent="0.2">
      <c r="B28" t="s">
        <v>196</v>
      </c>
      <c r="C28" s="16">
        <f t="shared" si="0"/>
        <v>1.037284876024831E-4</v>
      </c>
    </row>
    <row r="29" spans="2:3" x14ac:dyDescent="0.2">
      <c r="B29" t="s">
        <v>197</v>
      </c>
      <c r="C29" s="16">
        <f t="shared" si="0"/>
        <v>2.1063318997442178E-5</v>
      </c>
    </row>
    <row r="30" spans="2:3" x14ac:dyDescent="0.2">
      <c r="B30" t="s">
        <v>198</v>
      </c>
      <c r="C30" s="16">
        <f t="shared" si="0"/>
        <v>4.2771606666844718E-6</v>
      </c>
    </row>
    <row r="31" spans="2:3" x14ac:dyDescent="0.2">
      <c r="B31" t="s">
        <v>199</v>
      </c>
      <c r="C31" s="16">
        <f t="shared" si="0"/>
        <v>8.6852899919781383E-7</v>
      </c>
    </row>
    <row r="32" spans="2:3" x14ac:dyDescent="0.2">
      <c r="B32" t="s">
        <v>200</v>
      </c>
      <c r="C32" s="16">
        <f t="shared" si="0"/>
        <v>1.7636527622711449E-7</v>
      </c>
    </row>
    <row r="33" spans="2:3" x14ac:dyDescent="0.2">
      <c r="B33" t="s">
        <v>201</v>
      </c>
      <c r="C33" s="16">
        <f t="shared" si="0"/>
        <v>3.5813093963926556E-8</v>
      </c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1000ly total summary-result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Arbuckle</cp:lastModifiedBy>
  <dcterms:created xsi:type="dcterms:W3CDTF">2025-12-25T22:23:14Z</dcterms:created>
  <dcterms:modified xsi:type="dcterms:W3CDTF">2025-12-27T18:29:38Z</dcterms:modified>
</cp:coreProperties>
</file>